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55" windowHeight="10200" activeTab="0"/>
  </bookViews>
  <sheets>
    <sheet name="istruzioni" sheetId="1" r:id="rId1"/>
    <sheet name="DATI" sheetId="2" r:id="rId2"/>
    <sheet name="CALCOLI" sheetId="3" r:id="rId3"/>
    <sheet name="Texture Calculator" sheetId="4" state="hidden" r:id="rId4"/>
  </sheets>
  <definedNames>
    <definedName name="_xlnm.Print_Area" localSheetId="2">'CALCOLI'!$A$1:$N$33</definedName>
    <definedName name="_xlnm.Print_Area" localSheetId="1">'DATI'!$A$3:$J$20</definedName>
  </definedNames>
  <calcPr fullCalcOnLoad="1"/>
</workbook>
</file>

<file path=xl/sharedStrings.xml><?xml version="1.0" encoding="utf-8"?>
<sst xmlns="http://schemas.openxmlformats.org/spreadsheetml/2006/main" count="190" uniqueCount="139">
  <si>
    <t>%</t>
  </si>
  <si>
    <t>limo</t>
  </si>
  <si>
    <t>argilla</t>
  </si>
  <si>
    <t>sostanza organica</t>
  </si>
  <si>
    <t>Indice strutturale</t>
  </si>
  <si>
    <t>unità di misura</t>
  </si>
  <si>
    <t>conducibilità alla saturazione (Ks)</t>
  </si>
  <si>
    <t>densità apparente (DA)</t>
  </si>
  <si>
    <t xml:space="preserve">sabbia 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</si>
  <si>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</si>
  <si>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</si>
  <si>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</si>
  <si>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</si>
  <si>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</si>
  <si>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</si>
  <si>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</si>
  <si>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</si>
  <si>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AWC</t>
  </si>
  <si>
    <t>mm</t>
  </si>
  <si>
    <t>scheletro</t>
  </si>
  <si>
    <t>1: granulare molto fine; 2: granulare fine; 3; granulare media o grossa; 4; prismatica, lamellare o massiva</t>
  </si>
  <si>
    <t>PA15000</t>
  </si>
  <si>
    <t>i VALORI pre-inseriti sono ESEMPI e andranno sostituiti</t>
  </si>
  <si>
    <t>pH</t>
  </si>
  <si>
    <t>meq/100g</t>
  </si>
  <si>
    <t>Capacità di Scambio Cationico</t>
  </si>
  <si>
    <t>1:  topsoil
0: subsoil</t>
  </si>
  <si>
    <t>Fertilità
orizzonte arato/superficiale</t>
  </si>
  <si>
    <t>/</t>
  </si>
  <si>
    <t>(due cifre decimali)</t>
  </si>
  <si>
    <t>PrflXX1-or_prof</t>
  </si>
  <si>
    <t>PrflXX1-or_sup</t>
  </si>
  <si>
    <t>controllo a 100 % della tessittura</t>
  </si>
  <si>
    <t>inserire la valutazione di profondità (in cm)</t>
  </si>
  <si>
    <t>controllo csc</t>
  </si>
  <si>
    <t>controllo ph 1</t>
  </si>
  <si>
    <t>controllo ph 2</t>
  </si>
  <si>
    <t>controllo ph 3</t>
  </si>
  <si>
    <t>controllo ph 4</t>
  </si>
  <si>
    <t>controllo ph 5</t>
  </si>
  <si>
    <t>Cass valore controllo sch</t>
  </si>
  <si>
    <t>Cass valore controllo csc</t>
  </si>
  <si>
    <t>Cass valore controllo ph</t>
  </si>
  <si>
    <t>Cass valore controllo prof</t>
  </si>
  <si>
    <t>controllo somma fert</t>
  </si>
  <si>
    <t>sigla Profilo_numero_orizzonte</t>
  </si>
  <si>
    <r>
      <t xml:space="preserve">Capacità assimilativa
</t>
    </r>
    <r>
      <rPr>
        <sz val="10"/>
        <rFont val="Arial"/>
        <family val="2"/>
      </rPr>
      <t>(valore parametro)</t>
    </r>
  </si>
  <si>
    <t>spessore</t>
  </si>
  <si>
    <t>di cui limo grosso</t>
  </si>
  <si>
    <t>ISTRUZIONI:</t>
  </si>
  <si>
    <t>nome file certificato analisi</t>
  </si>
  <si>
    <t xml:space="preserve"> Si consiglia pertanto di non modificare la posizione delle celle</t>
  </si>
  <si>
    <t>le cartelle sono:</t>
  </si>
  <si>
    <t xml:space="preserve">Erodibilità (K)
</t>
  </si>
  <si>
    <t xml:space="preserve">                 N.B. la cartella è bloccata e quindi non modificabile.</t>
  </si>
  <si>
    <t>di cui sabbia molto fine</t>
  </si>
  <si>
    <t>g/kg</t>
  </si>
  <si>
    <t>conversione unità misura dato analitico</t>
  </si>
  <si>
    <t>dato analitico</t>
  </si>
  <si>
    <t>Carbonio organico</t>
  </si>
  <si>
    <t>SEZIONE per eventuale CONVERSIONE UNITA' DI MISURA</t>
  </si>
  <si>
    <t xml:space="preserve">    N.B: nelle colonne F-J della cartella è possibile eseguire le conversioni delle unità di misura dei certificati di analisi,</t>
  </si>
  <si>
    <t xml:space="preserve">           espressi con la notazione dei metodi ufficiali di analisi, per riportarle alle unità di misura utilizzate nei calcoli successivi</t>
  </si>
  <si>
    <t xml:space="preserve">           e da inserire  nelle colonne C per il topsoil e D per il subsoil</t>
  </si>
  <si>
    <t>^ colonna da copiare e incollare in colonne C o D</t>
  </si>
  <si>
    <t>fattore LS</t>
  </si>
  <si>
    <t>profondità utile
alle radici</t>
  </si>
  <si>
    <t>S.O. %</t>
  </si>
  <si>
    <r>
      <t xml:space="preserve">il file, composto da due cartelle di lavoro, andrà </t>
    </r>
    <r>
      <rPr>
        <b/>
        <sz val="11"/>
        <rFont val="Arial"/>
        <family val="2"/>
      </rPr>
      <t xml:space="preserve">compilato per ognuno dei profili descritti e analizzati </t>
    </r>
  </si>
  <si>
    <t>DATI: dove andranno  inseriti i DATI (di rilevamento e analitici) del profilo. La compilazione è libera.</t>
  </si>
  <si>
    <t>CALCOLI: dove verrano mostrati i risultati di alcuni parametri, come espressi nelle Linee Guida.</t>
  </si>
  <si>
    <t xml:space="preserve">                    nella prima riga del foglio è effettuato il controllo a 100 della tessitura (ok=&gt;100% di terra fine)</t>
  </si>
  <si>
    <t>INSERISCI I DATI NELLE CELLE EVIDENZIATE</t>
  </si>
  <si>
    <t>CREDITS: GIULIO account: https://stackexchange.com/users/7032089/giulio?tab=accounts</t>
  </si>
  <si>
    <t>SABBIA</t>
  </si>
  <si>
    <t>ARGILLA</t>
  </si>
  <si>
    <t>LIMO</t>
  </si>
  <si>
    <t>TESSITURA USDA</t>
  </si>
  <si>
    <t>% SABBIA 1</t>
  </si>
  <si>
    <t>%ARGILLA 1</t>
  </si>
  <si>
    <t>% LIMO 1</t>
  </si>
  <si>
    <t>% SABBIA 2</t>
  </si>
  <si>
    <t>%ARGILLA 2</t>
  </si>
  <si>
    <t>% LIMO 2</t>
  </si>
  <si>
    <t>% SABBIA 3</t>
  </si>
  <si>
    <t>%ARGILLA 3</t>
  </si>
  <si>
    <t>% LIMO 3</t>
  </si>
  <si>
    <t>% SABBIA 4</t>
  </si>
  <si>
    <t>%ARGILLA 4</t>
  </si>
  <si>
    <t>% LIMO 4</t>
  </si>
  <si>
    <t xml:space="preserve"> </t>
  </si>
  <si>
    <t>Optional SABBIA 1</t>
  </si>
  <si>
    <t>% Very Coarse</t>
  </si>
  <si>
    <t>% Coarse</t>
  </si>
  <si>
    <t>% Medium</t>
  </si>
  <si>
    <t>% Fine</t>
  </si>
  <si>
    <t>% Very Fine</t>
  </si>
  <si>
    <t>Optional SABBIA 2</t>
  </si>
  <si>
    <t>Optional SABBIA 3</t>
  </si>
  <si>
    <t>Optional SABBIA 4</t>
  </si>
  <si>
    <t>punto rosso =&gt; Orizzonte superficiale; punto marrore =&gt; orizzonte profondo</t>
  </si>
  <si>
    <t>grossolana</t>
  </si>
  <si>
    <t>moderatamente grossolana</t>
  </si>
  <si>
    <t>media</t>
  </si>
  <si>
    <t>moderatamente fine</t>
  </si>
  <si>
    <t>fine</t>
  </si>
  <si>
    <t>sand</t>
  </si>
  <si>
    <t>loamy sand</t>
  </si>
  <si>
    <t>sandy loam</t>
  </si>
  <si>
    <t>loam</t>
  </si>
  <si>
    <t>silt</t>
  </si>
  <si>
    <t>sandy clay loam</t>
  </si>
  <si>
    <t>clay loam</t>
  </si>
  <si>
    <t>silty clay loam</t>
  </si>
  <si>
    <t>sandy clay</t>
  </si>
  <si>
    <t>silty clay</t>
  </si>
  <si>
    <t>clay</t>
  </si>
  <si>
    <t>silt loamy</t>
  </si>
  <si>
    <t xml:space="preserve">        il dato inserito andrà riportato manualmente nelle colonne C o D</t>
  </si>
  <si>
    <t>(AL) argilloso limoso</t>
  </si>
  <si>
    <t>(A) argilloso</t>
  </si>
  <si>
    <t>(L) limoso</t>
  </si>
  <si>
    <t>(S) sabbioso</t>
  </si>
  <si>
    <t>(SF) sabbioso franco</t>
  </si>
  <si>
    <t>(AS) argilloso sabbioso</t>
  </si>
  <si>
    <t>(F) franco</t>
  </si>
  <si>
    <t>(FL) franco limoso</t>
  </si>
  <si>
    <t>(FS) franco sabbioso</t>
  </si>
  <si>
    <t>(FSA) franco argilloso sabbioso</t>
  </si>
  <si>
    <t>(FLA) franco argilloso limoso</t>
  </si>
  <si>
    <t>(FA) franco argilloso</t>
  </si>
  <si>
    <t>Pendenza</t>
  </si>
  <si>
    <t>controllo Ks&gt;= 61 cm/d</t>
  </si>
  <si>
    <t>controllo Ks &lt;61 and &gt;=20,3 cm/d</t>
  </si>
  <si>
    <t>controllo Ks &lt;20,3 and &gt;= 5,1 cm/d</t>
  </si>
  <si>
    <t>controllo Ks &lt;5,1 and &gt;= 2 cm/d</t>
  </si>
  <si>
    <t>controllo Ks&lt;2 and &gt;= 1 cm/d</t>
  </si>
  <si>
    <t>controllo Ks&lt;=1 cm/d</t>
  </si>
  <si>
    <t>ha h /ha MJ mm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</si>
</sst>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0"/>
    <numFmt numFmtId="185" formatCode="0.000000000000"/>
    <numFmt numFmtId="186" formatCode="0.0"/>
    <numFmt numFmtId="187" formatCode="0.000%"/>
    <numFmt numFmtId="188" formatCode="0.0000%"/>
    <numFmt numFmtId="189" formatCode="0.00000%"/>
    <numFmt numFmtId="190" formatCode="0.0%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9" tint="-0.499969989061355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6" fontId="5" fillId="34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83" fontId="5" fillId="7" borderId="10" xfId="0" applyNumberFormat="1" applyFont="1" applyFill="1" applyBorder="1" applyAlignment="1">
      <alignment horizontal="center" vertical="center"/>
    </xf>
    <xf numFmtId="186" fontId="5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183" fontId="5" fillId="4" borderId="10" xfId="0" applyNumberFormat="1" applyFont="1" applyFill="1" applyBorder="1" applyAlignment="1">
      <alignment horizontal="center" vertical="center"/>
    </xf>
    <xf numFmtId="186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right"/>
    </xf>
    <xf numFmtId="186" fontId="5" fillId="37" borderId="10" xfId="0" applyNumberFormat="1" applyFont="1" applyFill="1" applyBorder="1" applyAlignment="1">
      <alignment vertical="center"/>
    </xf>
    <xf numFmtId="2" fontId="5" fillId="37" borderId="10" xfId="0" applyNumberFormat="1" applyFont="1" applyFill="1" applyBorder="1" applyAlignment="1">
      <alignment vertical="center"/>
    </xf>
    <xf numFmtId="186" fontId="5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11" fillId="37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8" xfId="46" applyFont="1" applyBorder="1" applyProtection="1">
      <alignment/>
      <protection/>
    </xf>
    <xf numFmtId="0" fontId="0" fillId="0" borderId="18" xfId="46" applyBorder="1" applyProtection="1">
      <alignment/>
      <protection/>
    </xf>
    <xf numFmtId="0" fontId="0" fillId="0" borderId="19" xfId="46" applyBorder="1" applyProtection="1">
      <alignment/>
      <protection/>
    </xf>
    <xf numFmtId="0" fontId="0" fillId="0" borderId="0" xfId="46" applyProtection="1">
      <alignment/>
      <protection/>
    </xf>
    <xf numFmtId="0" fontId="0" fillId="0" borderId="20" xfId="46" applyBorder="1" applyAlignment="1" applyProtection="1">
      <alignment vertical="center"/>
      <protection/>
    </xf>
    <xf numFmtId="0" fontId="0" fillId="0" borderId="0" xfId="46" applyFont="1" applyBorder="1" applyAlignment="1" applyProtection="1">
      <alignment vertical="center"/>
      <protection/>
    </xf>
    <xf numFmtId="0" fontId="0" fillId="0" borderId="0" xfId="46" applyBorder="1" applyAlignment="1" applyProtection="1">
      <alignment vertical="center"/>
      <protection/>
    </xf>
    <xf numFmtId="0" fontId="0" fillId="0" borderId="21" xfId="46" applyBorder="1" applyAlignment="1" applyProtection="1">
      <alignment vertical="center"/>
      <protection/>
    </xf>
    <xf numFmtId="0" fontId="0" fillId="0" borderId="0" xfId="46" applyAlignment="1" applyProtection="1">
      <alignment vertical="center"/>
      <protection/>
    </xf>
    <xf numFmtId="0" fontId="7" fillId="0" borderId="0" xfId="46" applyFont="1" applyAlignment="1" applyProtection="1">
      <alignment vertical="center"/>
      <protection/>
    </xf>
    <xf numFmtId="0" fontId="60" fillId="38" borderId="22" xfId="46" applyFont="1" applyFill="1" applyBorder="1" applyAlignment="1" applyProtection="1">
      <alignment horizontal="center" vertical="center"/>
      <protection/>
    </xf>
    <xf numFmtId="10" fontId="5" fillId="36" borderId="10" xfId="49" applyNumberFormat="1" applyFont="1" applyFill="1" applyBorder="1" applyAlignment="1" applyProtection="1">
      <alignment vertical="center"/>
      <protection locked="0"/>
    </xf>
    <xf numFmtId="0" fontId="60" fillId="38" borderId="10" xfId="46" applyFont="1" applyFill="1" applyBorder="1" applyAlignment="1" applyProtection="1">
      <alignment horizontal="center" vertical="center"/>
      <protection/>
    </xf>
    <xf numFmtId="0" fontId="5" fillId="0" borderId="10" xfId="46" applyFont="1" applyBorder="1" applyAlignment="1" applyProtection="1">
      <alignment horizontal="center" vertical="center"/>
      <protection/>
    </xf>
    <xf numFmtId="10" fontId="5" fillId="0" borderId="10" xfId="46" applyNumberFormat="1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60" fillId="39" borderId="22" xfId="46" applyFont="1" applyFill="1" applyBorder="1" applyAlignment="1" applyProtection="1">
      <alignment horizontal="center" vertical="center"/>
      <protection/>
    </xf>
    <xf numFmtId="0" fontId="60" fillId="39" borderId="10" xfId="46" applyFont="1" applyFill="1" applyBorder="1" applyAlignment="1" applyProtection="1">
      <alignment horizontal="center" vertical="center"/>
      <protection/>
    </xf>
    <xf numFmtId="0" fontId="60" fillId="40" borderId="22" xfId="46" applyFont="1" applyFill="1" applyBorder="1" applyAlignment="1" applyProtection="1">
      <alignment horizontal="center" vertical="center"/>
      <protection/>
    </xf>
    <xf numFmtId="0" fontId="60" fillId="40" borderId="10" xfId="46" applyFont="1" applyFill="1" applyBorder="1" applyAlignment="1" applyProtection="1">
      <alignment horizontal="center" vertical="center"/>
      <protection/>
    </xf>
    <xf numFmtId="0" fontId="60" fillId="41" borderId="22" xfId="46" applyFont="1" applyFill="1" applyBorder="1" applyAlignment="1" applyProtection="1">
      <alignment horizontal="center" vertical="center"/>
      <protection/>
    </xf>
    <xf numFmtId="0" fontId="60" fillId="41" borderId="10" xfId="46" applyFont="1" applyFill="1" applyBorder="1" applyAlignment="1" applyProtection="1">
      <alignment horizontal="center" vertical="center"/>
      <protection/>
    </xf>
    <xf numFmtId="0" fontId="0" fillId="0" borderId="20" xfId="46" applyFont="1" applyBorder="1" applyProtection="1">
      <alignment/>
      <protection/>
    </xf>
    <xf numFmtId="9" fontId="0" fillId="0" borderId="0" xfId="49" applyFill="1" applyBorder="1" applyAlignment="1" applyProtection="1">
      <alignment/>
      <protection/>
    </xf>
    <xf numFmtId="0" fontId="0" fillId="0" borderId="0" xfId="46" applyFont="1" applyFill="1" applyBorder="1" applyProtection="1">
      <alignment/>
      <protection/>
    </xf>
    <xf numFmtId="0" fontId="0" fillId="0" borderId="0" xfId="46" applyBorder="1" applyProtection="1">
      <alignment/>
      <protection/>
    </xf>
    <xf numFmtId="9" fontId="0" fillId="0" borderId="0" xfId="46" applyNumberFormat="1" applyBorder="1" applyProtection="1">
      <alignment/>
      <protection/>
    </xf>
    <xf numFmtId="2" fontId="0" fillId="0" borderId="0" xfId="46" applyNumberFormat="1" applyBorder="1" applyProtection="1">
      <alignment/>
      <protection/>
    </xf>
    <xf numFmtId="0" fontId="0" fillId="0" borderId="21" xfId="46" applyBorder="1" applyProtection="1">
      <alignment/>
      <protection/>
    </xf>
    <xf numFmtId="0" fontId="0" fillId="0" borderId="20" xfId="46" applyBorder="1" applyProtection="1">
      <alignment/>
      <protection/>
    </xf>
    <xf numFmtId="0" fontId="0" fillId="0" borderId="22" xfId="46" applyFill="1" applyBorder="1" applyProtection="1">
      <alignment/>
      <protection/>
    </xf>
    <xf numFmtId="10" fontId="0" fillId="36" borderId="10" xfId="49" applyNumberFormat="1" applyFill="1" applyBorder="1" applyAlignment="1" applyProtection="1">
      <alignment/>
      <protection locked="0"/>
    </xf>
    <xf numFmtId="0" fontId="15" fillId="0" borderId="0" xfId="46" applyFont="1" applyBorder="1" applyAlignment="1" applyProtection="1">
      <alignment horizontal="left"/>
      <protection/>
    </xf>
    <xf numFmtId="183" fontId="0" fillId="0" borderId="0" xfId="46" applyNumberFormat="1" applyBorder="1" applyProtection="1">
      <alignment/>
      <protection/>
    </xf>
    <xf numFmtId="0" fontId="16" fillId="0" borderId="0" xfId="46" applyFont="1" applyBorder="1" applyAlignment="1" applyProtection="1">
      <alignment horizontal="left"/>
      <protection/>
    </xf>
    <xf numFmtId="0" fontId="0" fillId="0" borderId="23" xfId="46" applyBorder="1" applyProtection="1">
      <alignment/>
      <protection/>
    </xf>
    <xf numFmtId="2" fontId="0" fillId="0" borderId="23" xfId="46" applyNumberFormat="1" applyBorder="1" applyProtection="1">
      <alignment/>
      <protection/>
    </xf>
    <xf numFmtId="0" fontId="0" fillId="0" borderId="24" xfId="46" applyBorder="1" applyProtection="1">
      <alignment/>
      <protection/>
    </xf>
    <xf numFmtId="0" fontId="61" fillId="4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5" fillId="42" borderId="14" xfId="0" applyFont="1" applyFill="1" applyBorder="1" applyAlignment="1">
      <alignment vertical="center"/>
    </xf>
    <xf numFmtId="0" fontId="5" fillId="43" borderId="14" xfId="0" applyFont="1" applyFill="1" applyBorder="1" applyAlignment="1">
      <alignment vertical="center"/>
    </xf>
    <xf numFmtId="186" fontId="5" fillId="42" borderId="14" xfId="0" applyNumberFormat="1" applyFont="1" applyFill="1" applyBorder="1" applyAlignment="1">
      <alignment vertical="center"/>
    </xf>
    <xf numFmtId="186" fontId="5" fillId="43" borderId="14" xfId="0" applyNumberFormat="1" applyFont="1" applyFill="1" applyBorder="1" applyAlignment="1">
      <alignment vertical="center"/>
    </xf>
    <xf numFmtId="186" fontId="5" fillId="42" borderId="10" xfId="0" applyNumberFormat="1" applyFont="1" applyFill="1" applyBorder="1" applyAlignment="1">
      <alignment vertical="center"/>
    </xf>
    <xf numFmtId="186" fontId="5" fillId="43" borderId="10" xfId="0" applyNumberFormat="1" applyFont="1" applyFill="1" applyBorder="1" applyAlignment="1">
      <alignment vertical="center"/>
    </xf>
    <xf numFmtId="2" fontId="5" fillId="42" borderId="14" xfId="0" applyNumberFormat="1" applyFont="1" applyFill="1" applyBorder="1" applyAlignment="1">
      <alignment vertical="center"/>
    </xf>
    <xf numFmtId="2" fontId="5" fillId="43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6" borderId="28" xfId="46" applyFont="1" applyFill="1" applyBorder="1" applyAlignment="1" applyProtection="1">
      <alignment horizontal="center"/>
      <protection/>
    </xf>
    <xf numFmtId="0" fontId="4" fillId="36" borderId="18" xfId="46" applyFont="1" applyFill="1" applyBorder="1" applyAlignment="1" applyProtection="1">
      <alignment horizontal="center"/>
      <protection/>
    </xf>
    <xf numFmtId="0" fontId="8" fillId="44" borderId="22" xfId="46" applyFont="1" applyFill="1" applyBorder="1" applyAlignment="1" applyProtection="1">
      <alignment horizontal="center" vertical="center"/>
      <protection/>
    </xf>
    <xf numFmtId="0" fontId="8" fillId="44" borderId="10" xfId="46" applyFont="1" applyFill="1" applyBorder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vertical="center"/>
      <protection/>
    </xf>
    <xf numFmtId="0" fontId="7" fillId="0" borderId="29" xfId="46" applyFont="1" applyBorder="1" applyAlignment="1" applyProtection="1">
      <alignment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vertical="center"/>
      <protection/>
    </xf>
    <xf numFmtId="0" fontId="4" fillId="0" borderId="29" xfId="46" applyFont="1" applyBorder="1" applyAlignment="1" applyProtection="1">
      <alignment vertical="center"/>
      <protection/>
    </xf>
    <xf numFmtId="0" fontId="2" fillId="44" borderId="22" xfId="46" applyFont="1" applyFill="1" applyBorder="1" applyAlignment="1" applyProtection="1">
      <alignment horizontal="center"/>
      <protection/>
    </xf>
    <xf numFmtId="0" fontId="2" fillId="44" borderId="10" xfId="46" applyFont="1" applyFill="1" applyBorder="1" applyAlignment="1" applyProtection="1">
      <alignment horizontal="center"/>
      <protection/>
    </xf>
    <xf numFmtId="0" fontId="1" fillId="0" borderId="0" xfId="46" applyFont="1" applyBorder="1" applyAlignment="1" applyProtection="1">
      <alignment horizontal="center"/>
      <protection/>
    </xf>
    <xf numFmtId="0" fontId="14" fillId="0" borderId="30" xfId="46" applyFont="1" applyBorder="1" applyAlignment="1" applyProtection="1">
      <alignment horizontal="center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12" fillId="0" borderId="31" xfId="46" applyFont="1" applyBorder="1" applyAlignment="1">
      <alignment horizontal="center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0" fontId="12" fillId="0" borderId="32" xfId="46" applyFont="1" applyBorder="1" applyAlignment="1">
      <alignment horizontal="center" vertical="center" wrapText="1"/>
      <protection/>
    </xf>
    <xf numFmtId="0" fontId="12" fillId="0" borderId="23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07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7"/>
          <c:w val="0.96875"/>
          <c:h val="0.8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>
                <c:ptCount val="1"/>
                <c:pt idx="0">
                  <c:v>0.6205311999999998</c:v>
                </c:pt>
              </c:numCache>
            </c:numRef>
          </c:xVal>
          <c:yVal>
            <c:numRef>
              <c:f>'Texture Calculator'!$E$21</c:f>
              <c:numCache>
                <c:ptCount val="1"/>
                <c:pt idx="0">
                  <c:v>0.29944000000000004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>
                <c:ptCount val="1"/>
                <c:pt idx="0">
                  <c:v>0.4093228</c:v>
                </c:pt>
              </c:numCache>
            </c:numRef>
          </c:xVal>
          <c:yVal>
            <c:numRef>
              <c:f>'Texture Calculator'!$E$22</c:f>
              <c:numCache>
                <c:ptCount val="1"/>
                <c:pt idx="0">
                  <c:v>0.18361000000000005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Calculator'!$E$23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Calculator'!$E$24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axId val="41045723"/>
        <c:axId val="33867188"/>
      </c:scatterChart>
      <c:valAx>
        <c:axId val="41045723"/>
        <c:scaling>
          <c:orientation val="minMax"/>
        </c:scaling>
        <c:axPos val="b"/>
        <c:delete val="1"/>
        <c:majorTickMark val="out"/>
        <c:minorTickMark val="none"/>
        <c:tickLblPos val="nextTo"/>
        <c:crossAx val="33867188"/>
        <c:crosses val="autoZero"/>
        <c:crossBetween val="midCat"/>
        <c:dispUnits/>
      </c:valAx>
      <c:valAx>
        <c:axId val="33867188"/>
        <c:scaling>
          <c:orientation val="minMax"/>
        </c:scaling>
        <c:axPos val="l"/>
        <c:delete val="1"/>
        <c:majorTickMark val="out"/>
        <c:minorTickMark val="none"/>
        <c:tickLblPos val="nextTo"/>
        <c:crossAx val="41045723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93"/>
          <c:w val="0.9682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/>
            </c:numRef>
          </c:xVal>
          <c:yVal>
            <c:numRef>
              <c:f>'Texture Calculator'!$E$21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/>
            </c:numRef>
          </c:xVal>
          <c:yVal>
            <c:numRef>
              <c:f>'Texture Calculator'!$E$22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/>
            </c:numRef>
          </c:xVal>
          <c:yVal>
            <c:numRef>
              <c:f>'Texture Calculator'!$E$23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/>
            </c:numRef>
          </c:xVal>
          <c:yVal>
            <c:numRef>
              <c:f>'Texture Calculator'!$E$24</c:f>
              <c:numCache/>
            </c:numRef>
          </c:yVal>
          <c:smooth val="0"/>
        </c:ser>
        <c:axId val="36369237"/>
        <c:axId val="58887678"/>
      </c:scatterChart>
      <c:valAx>
        <c:axId val="36369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8887678"/>
        <c:crosses val="autoZero"/>
        <c:crossBetween val="midCat"/>
        <c:dispUnits/>
      </c:valAx>
      <c:valAx>
        <c:axId val="58887678"/>
        <c:scaling>
          <c:orientation val="minMax"/>
        </c:scaling>
        <c:axPos val="l"/>
        <c:delete val="1"/>
        <c:majorTickMark val="out"/>
        <c:minorTickMark val="none"/>
        <c:tickLblPos val="nextTo"/>
        <c:crossAx val="36369237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13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877050" y="247650"/>
        <a:ext cx="6838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857375" y="2152650"/>
        <a:ext cx="75342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9" sqref="A19"/>
    </sheetView>
  </sheetViews>
  <sheetFormatPr defaultColWidth="8.8515625" defaultRowHeight="19.5" customHeight="1"/>
  <cols>
    <col min="1" max="1" width="111.140625" style="61" customWidth="1"/>
    <col min="2" max="16384" width="8.8515625" style="61" customWidth="1"/>
  </cols>
  <sheetData>
    <row r="1" spans="1:6" s="60" customFormat="1" ht="19.5" customHeight="1">
      <c r="A1" s="58" t="s">
        <v>49</v>
      </c>
      <c r="B1" s="59"/>
      <c r="C1" s="59"/>
      <c r="D1" s="59"/>
      <c r="E1" s="59"/>
      <c r="F1" s="59"/>
    </row>
    <row r="2" ht="19.5" customHeight="1">
      <c r="A2" s="61" t="s">
        <v>68</v>
      </c>
    </row>
    <row r="3" ht="19.5" customHeight="1">
      <c r="A3" s="61" t="s">
        <v>52</v>
      </c>
    </row>
    <row r="5" ht="19.5" customHeight="1">
      <c r="A5" s="61" t="s">
        <v>69</v>
      </c>
    </row>
    <row r="6" ht="19.5" customHeight="1">
      <c r="A6" s="61" t="s">
        <v>61</v>
      </c>
    </row>
    <row r="7" ht="19.5" customHeight="1">
      <c r="A7" s="61" t="s">
        <v>62</v>
      </c>
    </row>
    <row r="8" ht="19.5" customHeight="1">
      <c r="A8" s="61" t="s">
        <v>63</v>
      </c>
    </row>
    <row r="10" ht="19.5" customHeight="1">
      <c r="A10" s="61" t="s">
        <v>70</v>
      </c>
    </row>
    <row r="11" ht="19.5" customHeight="1">
      <c r="A11" s="61" t="s">
        <v>54</v>
      </c>
    </row>
    <row r="12" ht="19.5" customHeight="1">
      <c r="A12" s="55" t="s">
        <v>71</v>
      </c>
    </row>
  </sheetData>
  <sheetProtection password="CA9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19"/>
  <sheetViews>
    <sheetView zoomScale="80" zoomScaleNormal="80" zoomScalePageLayoutView="0" workbookViewId="0" topLeftCell="A3">
      <selection activeCell="D6" sqref="D6"/>
    </sheetView>
  </sheetViews>
  <sheetFormatPr defaultColWidth="10.8515625" defaultRowHeight="12.75"/>
  <cols>
    <col min="1" max="1" width="21.421875" style="1" customWidth="1"/>
    <col min="2" max="2" width="15.7109375" style="4" customWidth="1"/>
    <col min="3" max="4" width="20.8515625" style="1" customWidth="1"/>
    <col min="5" max="5" width="10.8515625" style="1" customWidth="1"/>
    <col min="6" max="6" width="24.421875" style="1" customWidth="1"/>
    <col min="7" max="7" width="10.57421875" style="1" customWidth="1"/>
    <col min="8" max="8" width="13.00390625" style="1" customWidth="1"/>
    <col min="9" max="9" width="10.57421875" style="1" customWidth="1"/>
    <col min="10" max="10" width="13.7109375" style="1" customWidth="1"/>
    <col min="11" max="16384" width="10.8515625" style="1" customWidth="1"/>
  </cols>
  <sheetData>
    <row r="1" spans="1:6" ht="15.75">
      <c r="A1" s="53" t="s">
        <v>51</v>
      </c>
      <c r="B1" s="6"/>
      <c r="C1" s="3"/>
      <c r="D1" s="3"/>
      <c r="E1" s="2"/>
      <c r="F1" s="2"/>
    </row>
    <row r="2" spans="1:4" s="43" customFormat="1" ht="21.75" customHeight="1">
      <c r="A2" s="54" t="s">
        <v>22</v>
      </c>
      <c r="B2" s="41"/>
      <c r="C2" s="42"/>
      <c r="D2" s="42"/>
    </row>
    <row r="3" spans="1:10" ht="39" customHeight="1">
      <c r="A3" s="38"/>
      <c r="B3" s="39" t="s">
        <v>45</v>
      </c>
      <c r="C3" s="51" t="s">
        <v>31</v>
      </c>
      <c r="D3" s="52" t="s">
        <v>30</v>
      </c>
      <c r="F3" s="132" t="s">
        <v>60</v>
      </c>
      <c r="G3" s="132"/>
      <c r="H3" s="132"/>
      <c r="I3" s="132"/>
      <c r="J3" s="132"/>
    </row>
    <row r="4" spans="1:6" ht="33" customHeight="1">
      <c r="A4" s="127" t="s">
        <v>50</v>
      </c>
      <c r="B4" s="128"/>
      <c r="C4" s="36"/>
      <c r="D4" s="35"/>
      <c r="F4" s="117" t="s">
        <v>118</v>
      </c>
    </row>
    <row r="5" spans="1:4" ht="27.75" customHeight="1">
      <c r="A5" s="13" t="s">
        <v>9</v>
      </c>
      <c r="B5" s="37" t="s">
        <v>26</v>
      </c>
      <c r="C5" s="119">
        <v>1</v>
      </c>
      <c r="D5" s="120">
        <v>0</v>
      </c>
    </row>
    <row r="6" spans="1:10" ht="27.75" customHeight="1">
      <c r="A6" s="50" t="s">
        <v>47</v>
      </c>
      <c r="B6" s="14" t="s">
        <v>18</v>
      </c>
      <c r="C6" s="119">
        <v>400</v>
      </c>
      <c r="D6" s="120">
        <v>500</v>
      </c>
      <c r="F6" s="63"/>
      <c r="G6" s="131" t="s">
        <v>58</v>
      </c>
      <c r="H6" s="131"/>
      <c r="I6" s="129" t="s">
        <v>57</v>
      </c>
      <c r="J6" s="130"/>
    </row>
    <row r="7" spans="1:10" ht="27.75" customHeight="1">
      <c r="A7" s="15" t="s">
        <v>19</v>
      </c>
      <c r="B7" s="16" t="s">
        <v>0</v>
      </c>
      <c r="C7" s="121">
        <v>0.5</v>
      </c>
      <c r="D7" s="122">
        <v>0</v>
      </c>
      <c r="F7" s="70" t="s">
        <v>19</v>
      </c>
      <c r="G7" s="67" t="s">
        <v>56</v>
      </c>
      <c r="H7" s="64">
        <v>500</v>
      </c>
      <c r="I7" s="67" t="s">
        <v>0</v>
      </c>
      <c r="J7" s="66">
        <f aca="true" t="shared" si="0" ref="J7:J12">H7/10</f>
        <v>50</v>
      </c>
    </row>
    <row r="8" spans="1:10" ht="27.75" customHeight="1">
      <c r="A8" s="15" t="s">
        <v>8</v>
      </c>
      <c r="B8" s="16" t="s">
        <v>0</v>
      </c>
      <c r="C8" s="121">
        <v>37.9</v>
      </c>
      <c r="D8" s="122">
        <v>64</v>
      </c>
      <c r="F8" s="71" t="s">
        <v>8</v>
      </c>
      <c r="G8" s="67" t="s">
        <v>56</v>
      </c>
      <c r="H8" s="64">
        <v>328</v>
      </c>
      <c r="I8" s="67" t="s">
        <v>0</v>
      </c>
      <c r="J8" s="66">
        <f t="shared" si="0"/>
        <v>32.8</v>
      </c>
    </row>
    <row r="9" spans="1:10" ht="22.5" customHeight="1">
      <c r="A9" s="49" t="s">
        <v>55</v>
      </c>
      <c r="B9" s="12" t="s">
        <v>0</v>
      </c>
      <c r="C9" s="123">
        <v>12.6</v>
      </c>
      <c r="D9" s="124">
        <v>6.5</v>
      </c>
      <c r="F9" s="72" t="s">
        <v>55</v>
      </c>
      <c r="G9" s="67" t="s">
        <v>56</v>
      </c>
      <c r="H9" s="64">
        <v>250</v>
      </c>
      <c r="I9" s="67" t="s">
        <v>0</v>
      </c>
      <c r="J9" s="66">
        <f t="shared" si="0"/>
        <v>25</v>
      </c>
    </row>
    <row r="10" spans="1:10" ht="27.75" customHeight="1">
      <c r="A10" s="15" t="s">
        <v>1</v>
      </c>
      <c r="B10" s="16" t="s">
        <v>0</v>
      </c>
      <c r="C10" s="121">
        <v>46.5</v>
      </c>
      <c r="D10" s="122">
        <v>32.1</v>
      </c>
      <c r="F10" s="71" t="s">
        <v>1</v>
      </c>
      <c r="G10" s="67" t="s">
        <v>56</v>
      </c>
      <c r="H10" s="64">
        <v>400</v>
      </c>
      <c r="I10" s="67" t="s">
        <v>0</v>
      </c>
      <c r="J10" s="66">
        <f t="shared" si="0"/>
        <v>40</v>
      </c>
    </row>
    <row r="11" spans="1:10" ht="27.75" customHeight="1">
      <c r="A11" s="49" t="s">
        <v>48</v>
      </c>
      <c r="B11" s="12" t="s">
        <v>0</v>
      </c>
      <c r="C11" s="123">
        <v>31</v>
      </c>
      <c r="D11" s="124">
        <v>26.3</v>
      </c>
      <c r="F11" s="72" t="s">
        <v>48</v>
      </c>
      <c r="G11" s="67" t="s">
        <v>56</v>
      </c>
      <c r="H11" s="64">
        <v>150</v>
      </c>
      <c r="I11" s="67" t="s">
        <v>0</v>
      </c>
      <c r="J11" s="66">
        <f t="shared" si="0"/>
        <v>15</v>
      </c>
    </row>
    <row r="12" spans="1:10" ht="27.75" customHeight="1">
      <c r="A12" s="15" t="s">
        <v>2</v>
      </c>
      <c r="B12" s="16" t="s">
        <v>0</v>
      </c>
      <c r="C12" s="121">
        <v>15.600000000000001</v>
      </c>
      <c r="D12" s="122">
        <v>3.9000000000000057</v>
      </c>
      <c r="F12" s="70" t="s">
        <v>2</v>
      </c>
      <c r="G12" s="67" t="s">
        <v>56</v>
      </c>
      <c r="H12" s="64">
        <v>272</v>
      </c>
      <c r="I12" s="67" t="s">
        <v>0</v>
      </c>
      <c r="J12" s="66">
        <f t="shared" si="0"/>
        <v>27.2</v>
      </c>
    </row>
    <row r="13" spans="1:10" ht="36" customHeight="1">
      <c r="A13" s="15" t="s">
        <v>3</v>
      </c>
      <c r="B13" s="16" t="s">
        <v>0</v>
      </c>
      <c r="C13" s="125">
        <v>1.05164</v>
      </c>
      <c r="D13" s="126">
        <v>0.313768</v>
      </c>
      <c r="F13" s="69" t="s">
        <v>59</v>
      </c>
      <c r="G13" s="67" t="s">
        <v>56</v>
      </c>
      <c r="H13" s="65">
        <v>17.1</v>
      </c>
      <c r="I13" s="67" t="s">
        <v>67</v>
      </c>
      <c r="J13" s="68">
        <f>H13*1.724/10</f>
        <v>2.94804</v>
      </c>
    </row>
    <row r="14" spans="1:10" ht="65.25" customHeight="1">
      <c r="A14" s="15" t="s">
        <v>4</v>
      </c>
      <c r="B14" s="17" t="s">
        <v>20</v>
      </c>
      <c r="C14" s="119">
        <v>2</v>
      </c>
      <c r="D14" s="120">
        <v>1</v>
      </c>
      <c r="J14" s="133" t="s">
        <v>64</v>
      </c>
    </row>
    <row r="15" spans="1:10" ht="27.75" customHeight="1">
      <c r="A15" s="18" t="s">
        <v>23</v>
      </c>
      <c r="B15" s="19" t="s">
        <v>29</v>
      </c>
      <c r="C15" s="125">
        <v>8.3</v>
      </c>
      <c r="D15" s="126">
        <v>7.5</v>
      </c>
      <c r="J15" s="134"/>
    </row>
    <row r="16" spans="1:4" ht="51" customHeight="1">
      <c r="A16" s="23" t="s">
        <v>25</v>
      </c>
      <c r="B16" s="24" t="s">
        <v>24</v>
      </c>
      <c r="C16" s="121">
        <v>11.2</v>
      </c>
      <c r="D16" s="122">
        <v>15.8</v>
      </c>
    </row>
    <row r="17" spans="1:4" ht="11.25" customHeight="1">
      <c r="A17" s="8"/>
      <c r="B17" s="7"/>
      <c r="C17" s="20"/>
      <c r="D17" s="20"/>
    </row>
    <row r="18" spans="1:4" ht="51" customHeight="1">
      <c r="A18" s="73" t="s">
        <v>66</v>
      </c>
      <c r="B18" s="21" t="s">
        <v>33</v>
      </c>
      <c r="C18" s="22">
        <v>80</v>
      </c>
      <c r="D18" s="2"/>
    </row>
    <row r="19" spans="1:4" ht="40.5" customHeight="1">
      <c r="A19" s="74" t="s">
        <v>131</v>
      </c>
      <c r="B19" s="75" t="s">
        <v>0</v>
      </c>
      <c r="C19" s="22">
        <v>12</v>
      </c>
      <c r="D19" s="2"/>
    </row>
  </sheetData>
  <sheetProtection/>
  <mergeCells count="5">
    <mergeCell ref="A4:B4"/>
    <mergeCell ref="I6:J6"/>
    <mergeCell ref="G6:H6"/>
    <mergeCell ref="F3:J3"/>
    <mergeCell ref="J14:J1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65"/>
  <sheetViews>
    <sheetView zoomScale="90" zoomScaleNormal="90" zoomScalePageLayoutView="0" workbookViewId="0" topLeftCell="A1">
      <selection activeCell="B11" sqref="B11"/>
    </sheetView>
  </sheetViews>
  <sheetFormatPr defaultColWidth="10.8515625" defaultRowHeight="12.75"/>
  <cols>
    <col min="1" max="1" width="36.28125" style="1" customWidth="1"/>
    <col min="2" max="2" width="15.7109375" style="5" bestFit="1" customWidth="1"/>
    <col min="3" max="4" width="24.8515625" style="1" customWidth="1"/>
    <col min="5" max="5" width="10.8515625" style="1" customWidth="1"/>
    <col min="6" max="16384" width="10.8515625" style="1" customWidth="1"/>
  </cols>
  <sheetData>
    <row r="1" spans="1:5" ht="15">
      <c r="A1" s="46" t="s">
        <v>32</v>
      </c>
      <c r="B1" s="47"/>
      <c r="C1" s="48" t="str">
        <f>IF((DATI!C8+DATI!C10+DATI!C12)=100,"ok","no")</f>
        <v>ok</v>
      </c>
      <c r="D1" s="48" t="str">
        <f>IF((DATI!D8+DATI!D10+DATI!D12)=100,"ok","no")</f>
        <v>ok</v>
      </c>
      <c r="E1" s="116" t="s">
        <v>100</v>
      </c>
    </row>
    <row r="2" spans="2:4" ht="34.5" customHeight="1">
      <c r="B2" s="33" t="s">
        <v>5</v>
      </c>
      <c r="C2" s="114" t="str">
        <f>DATI!C3</f>
        <v>PrflXX1-or_sup</v>
      </c>
      <c r="D2" s="115" t="str">
        <f>DATI!D3</f>
        <v>PrflXX1-or_prof</v>
      </c>
    </row>
    <row r="3" spans="1:4" ht="27.75" customHeight="1">
      <c r="A3" s="10" t="s">
        <v>7</v>
      </c>
      <c r="B3" s="11" t="s">
        <v>10</v>
      </c>
      <c r="C3" s="28">
        <f>1.51+0.0025*DATI!C8-0.0013*DATI!C8*DATI!C13-0.0006*DATI!C12*DATI!C13-(0.0048*DATI!C12*DATI!C12/60)</f>
        <v>1.5236235468000001</v>
      </c>
      <c r="D3" s="25">
        <f>1.51+0.0025*DATI!D8-0.0013*DATI!D8*DATI!D13-0.0006*DATI!D12*DATI!D13-(0.0048*DATI!D12*DATI!D12/60)</f>
        <v>1.6419434852800001</v>
      </c>
    </row>
    <row r="4" spans="1:4" ht="27.75" customHeight="1">
      <c r="A4" s="10" t="s">
        <v>6</v>
      </c>
      <c r="B4" s="11" t="s">
        <v>11</v>
      </c>
      <c r="C4" s="29">
        <f>EXP(20.62-0.96*LN(DATI!C12)-0.66*LN(DATI!C8)-0.46*LN(DATI!C13)-8.43*C3)</f>
        <v>15.123416400108297</v>
      </c>
      <c r="D4" s="26">
        <f>EXP(20.62-0.96*LN(DATI!D12)-0.66*LN(DATI!D8)-0.46*LN(DATI!D13)-8.43*D3)</f>
        <v>26.0548191202058</v>
      </c>
    </row>
    <row r="5" spans="1:4" ht="27.75" customHeight="1">
      <c r="A5" s="10" t="s">
        <v>12</v>
      </c>
      <c r="B5" s="11"/>
      <c r="C5" s="30">
        <f>0.7919+0.001691*DATI!C12-0.29619*C3-0.000001491*DATI!C10^2+0.0000821*DATI!C13^2+0.02427/DATI!C12+0.01113/DATI!C10+0.01472*LN(DATI!C10)-0.0000733*DATI!C13*DATI!C12-0.000619*C3*DATI!C12-0.001183*C3*DATI!C13-0.0001664*DATI!C5*DATI!C10</f>
        <v>0.3966279145316839</v>
      </c>
      <c r="D5" s="27">
        <f>0.7919+0.001691*DATI!D12-0.29619*D3-0.000001491*DATI!D10^2+0.0000821*DATI!D13^2+0.02427/DATI!D12+0.01113/DATI!D10+0.01472*LN(DATI!D10)-0.0000733*DATI!D13*DATI!D12-0.000619*D3*DATI!D12-0.001183*D3*DATI!D13-0.0001664*DATI!D5*DATI!D10</f>
        <v>0.36360778562227275</v>
      </c>
    </row>
    <row r="6" spans="1:4" ht="27.75" customHeight="1">
      <c r="A6" s="10" t="s">
        <v>13</v>
      </c>
      <c r="B6" s="11"/>
      <c r="C6" s="30">
        <f>EXP(-14.96+0.03135*DATI!C12+0.0351*DATI!C10+0.646*DATI!C13+15.29*C3-0.192*DATI!C5-4.671*C3^2-0.000781*DATI!C12^2-0.00687*DATI!C13^2+0.0499/DATI!C13+0.0663*LN(DATI!C10)+0.1482*LN(DATI!C13)-0.04546*C3*DATI!C10-0.4852*C3*DATI!C13+0.00673*DATI!C5*DATI!C12)</f>
        <v>0.02522204417312571</v>
      </c>
      <c r="D6" s="27">
        <f>EXP(-14.96+0.03135*DATI!D12+0.0351*DATI!D10+0.646*DATI!D13+15.29*D3-0.192*DATI!D5-4.671*D3^2-0.000781*DATI!D12^2-0.00687*DATI!D13^2+0.0499/DATI!D13+0.0663*LN(DATI!D10)+0.1482*LN(DATI!D13)-0.04546*D3*DATI!D10-0.4852*D3*DATI!D13+0.00673*DATI!D5*DATI!D12)</f>
        <v>0.03215309291354134</v>
      </c>
    </row>
    <row r="7" spans="1:4" ht="27.75" customHeight="1">
      <c r="A7" s="10" t="s">
        <v>14</v>
      </c>
      <c r="B7" s="11"/>
      <c r="C7" s="30">
        <f>1+EXP(-25.23-0.02195*DATI!C12+0.0074*DATI!C10-0.194*DATI!C13+45.5*C3-7.24*C3^2+0.0003658*DATI!C12^2+0.002885*DATI!C13^2-12.81/C3-0.1524/DATI!C10-0.01958/DATI!C13-0.2876*LN(DATI!C10)-0.0709*LN(DATI!C13)-44.6*LN(C3)-0.02264*C3*DATI!C12+0.0896*C3*DATI!C13+0.00718*DATI!C5*DATI!C12)</f>
        <v>1.241013622907257</v>
      </c>
      <c r="D7" s="27">
        <f>1+EXP(-25.23-0.02195*DATI!D12+0.0074*DATI!D10-0.194*DATI!D13+45.5*D3-7.24*D3^2+0.0003658*DATI!D12^2+0.002885*DATI!D13^2-12.81/D3-0.1524/DATI!D10-0.01958/DATI!D13-0.2876*LN(DATI!D10)-0.0709*LN(DATI!D13)-44.6*LN(D3)-0.02264*D3*DATI!D12+0.0896*D3*DATI!D13+0.00718*DATI!D5*DATI!D12)</f>
        <v>1.3894666455205233</v>
      </c>
    </row>
    <row r="8" spans="1:4" ht="27.75" customHeight="1">
      <c r="A8" s="10" t="s">
        <v>15</v>
      </c>
      <c r="B8" s="11"/>
      <c r="C8" s="30">
        <f>C5*(1+(C6*330)^C7)^-(1-1/C7)</f>
        <v>0.23480554768159415</v>
      </c>
      <c r="D8" s="27">
        <f>D5*(1+(D6*330)^D7)^-(1-1/D7)</f>
        <v>0.14343461304748367</v>
      </c>
    </row>
    <row r="9" spans="1:4" ht="27.75" customHeight="1">
      <c r="A9" s="10" t="s">
        <v>21</v>
      </c>
      <c r="B9" s="11"/>
      <c r="C9" s="30">
        <f>C5*(1+(C6*15000)^C7)^-(1-1/C7)</f>
        <v>0.09484792092828981</v>
      </c>
      <c r="D9" s="27">
        <f>D5*(1+(D6*15000)^D7)^-(1-1/D7)</f>
        <v>0.03277548411478847</v>
      </c>
    </row>
    <row r="10" spans="1:4" ht="27.75" customHeight="1">
      <c r="A10" s="10" t="s">
        <v>16</v>
      </c>
      <c r="B10" s="11"/>
      <c r="C10" s="28">
        <f>C5-C8</f>
        <v>0.16182236685008974</v>
      </c>
      <c r="D10" s="25">
        <f>D5-D8</f>
        <v>0.22017317257478908</v>
      </c>
    </row>
    <row r="11" spans="1:4" ht="27.75" customHeight="1">
      <c r="A11" s="10" t="s">
        <v>17</v>
      </c>
      <c r="B11" s="11" t="s">
        <v>18</v>
      </c>
      <c r="C11" s="30">
        <f>(C8-C9)*DATI!C6*((100-DATI!C7)/100)</f>
        <v>55.70313544781513</v>
      </c>
      <c r="D11" s="27">
        <f>(D8-D9)*DATI!D6*((100-DATI!D7)/100)</f>
        <v>55.3295644663476</v>
      </c>
    </row>
    <row r="12" spans="1:4" ht="35.25" customHeight="1">
      <c r="A12" s="34" t="s">
        <v>27</v>
      </c>
      <c r="B12" s="9"/>
      <c r="C12" s="31" t="str">
        <f>IF(AND(C19&gt;=3,C19&lt;5),"moderata",IF(C19&gt;=5,"buona","scarsa"))</f>
        <v>buona</v>
      </c>
      <c r="D12" s="32" t="s">
        <v>28</v>
      </c>
    </row>
    <row r="13" spans="1:4" ht="15" hidden="1">
      <c r="A13" s="44" t="s">
        <v>34</v>
      </c>
      <c r="B13" s="40"/>
      <c r="C13" s="44">
        <f>IF(AND(DATI!C16&gt;=10,DATI!C16&lt;=20),2,IF(DATI!C16&gt;20,3,0))</f>
        <v>2</v>
      </c>
      <c r="D13" s="44"/>
    </row>
    <row r="14" spans="1:4" ht="15" hidden="1">
      <c r="A14" s="44" t="s">
        <v>35</v>
      </c>
      <c r="B14" s="40"/>
      <c r="C14" s="44">
        <f>IF(DATI!C15&gt;=8.5,1,0)</f>
        <v>0</v>
      </c>
      <c r="D14" s="44"/>
    </row>
    <row r="15" spans="1:4" ht="15" hidden="1">
      <c r="A15" s="44" t="s">
        <v>36</v>
      </c>
      <c r="B15" s="40"/>
      <c r="C15" s="44">
        <f>IF(AND(DATI!C15&lt;=8.49,DATI!C15&gt;=6.5),4,0)</f>
        <v>4</v>
      </c>
      <c r="D15" s="44"/>
    </row>
    <row r="16" spans="1:4" ht="15" hidden="1">
      <c r="A16" s="44" t="s">
        <v>37</v>
      </c>
      <c r="B16" s="40"/>
      <c r="C16" s="44">
        <f>IF(AND(DATI!C15&lt;=6.49,DATI!C15&gt;=5.5),2,0)</f>
        <v>0</v>
      </c>
      <c r="D16" s="44"/>
    </row>
    <row r="17" spans="1:4" ht="15" hidden="1">
      <c r="A17" s="44" t="s">
        <v>38</v>
      </c>
      <c r="B17" s="40"/>
      <c r="C17" s="44">
        <f>IF(AND(DATI!C15&lt;=5.49,DATI!C15&gt;=4.51),1,0)</f>
        <v>0</v>
      </c>
      <c r="D17" s="44"/>
    </row>
    <row r="18" spans="1:4" ht="15" hidden="1">
      <c r="A18" s="44" t="s">
        <v>39</v>
      </c>
      <c r="B18" s="40"/>
      <c r="C18" s="44">
        <f>IF(DATI!C15&lt;=4.5,0,0)</f>
        <v>0</v>
      </c>
      <c r="D18" s="44"/>
    </row>
    <row r="19" spans="1:4" ht="15" hidden="1">
      <c r="A19" s="44" t="s">
        <v>44</v>
      </c>
      <c r="B19" s="40"/>
      <c r="C19" s="44">
        <f>SUM(C13:C18)</f>
        <v>6</v>
      </c>
      <c r="D19" s="44"/>
    </row>
    <row r="20" spans="1:4" ht="15" hidden="1">
      <c r="A20" s="44" t="s">
        <v>40</v>
      </c>
      <c r="B20" s="40"/>
      <c r="C20" s="44">
        <f>IF(DATI!C7&lt;=35,3,1)</f>
        <v>3</v>
      </c>
      <c r="D20" s="44"/>
    </row>
    <row r="21" spans="1:4" ht="15" hidden="1">
      <c r="A21" s="44" t="s">
        <v>41</v>
      </c>
      <c r="B21" s="40"/>
      <c r="C21" s="44">
        <f>IF(DATI!C16&lt;=10,1,3)</f>
        <v>3</v>
      </c>
      <c r="D21" s="44"/>
    </row>
    <row r="22" spans="1:4" ht="15" hidden="1">
      <c r="A22" s="44" t="s">
        <v>42</v>
      </c>
      <c r="B22" s="40"/>
      <c r="C22" s="44">
        <f>IF(DATI!C15&lt;=6.5,1,2)</f>
        <v>2</v>
      </c>
      <c r="D22" s="44"/>
    </row>
    <row r="23" spans="1:4" ht="15" hidden="1">
      <c r="A23" s="44" t="s">
        <v>43</v>
      </c>
      <c r="B23" s="40"/>
      <c r="C23" s="44">
        <f>IF(AND(DATI!$C$18&gt;=50,DATI!$C$18&lt;=100),3,IF(DATI!$C$18&gt;100,5,1))</f>
        <v>3</v>
      </c>
      <c r="D23" s="44"/>
    </row>
    <row r="24" spans="1:4" ht="31.5" customHeight="1">
      <c r="A24" s="34" t="s">
        <v>46</v>
      </c>
      <c r="B24" s="45"/>
      <c r="C24" s="31">
        <f>SUM(C19:C23)</f>
        <v>17</v>
      </c>
      <c r="D24" s="32" t="s">
        <v>28</v>
      </c>
    </row>
    <row r="25" spans="1:3" s="44" customFormat="1" ht="14.25" customHeight="1" hidden="1">
      <c r="A25" s="44" t="s">
        <v>132</v>
      </c>
      <c r="C25" s="44">
        <f>IF(C4&gt;=61,1,0)</f>
        <v>0</v>
      </c>
    </row>
    <row r="26" spans="1:3" s="44" customFormat="1" ht="14.25" customHeight="1" hidden="1">
      <c r="A26" s="44" t="s">
        <v>133</v>
      </c>
      <c r="C26" s="44">
        <f>IF(AND(C4&lt;61,C4&gt;=20.3),2,0)</f>
        <v>0</v>
      </c>
    </row>
    <row r="27" spans="1:3" s="44" customFormat="1" ht="14.25" customHeight="1" hidden="1">
      <c r="A27" s="44" t="s">
        <v>134</v>
      </c>
      <c r="C27" s="44">
        <f>IF(AND(C4&lt;20.3,C4&gt;=5.1),3,0)</f>
        <v>3</v>
      </c>
    </row>
    <row r="28" spans="1:3" s="44" customFormat="1" ht="14.25" customHeight="1" hidden="1">
      <c r="A28" s="44" t="s">
        <v>135</v>
      </c>
      <c r="C28" s="44">
        <f>IF(AND(C4&lt;5.1,C4&gt;=2),4,0)</f>
        <v>0</v>
      </c>
    </row>
    <row r="29" spans="1:3" s="44" customFormat="1" ht="14.25" customHeight="1" hidden="1">
      <c r="A29" s="44" t="s">
        <v>136</v>
      </c>
      <c r="C29" s="44">
        <f>IF(AND(C4&lt;2,C4&gt;=1),5,0)</f>
        <v>0</v>
      </c>
    </row>
    <row r="30" spans="1:3" s="44" customFormat="1" ht="14.25" customHeight="1" hidden="1">
      <c r="A30" s="44" t="s">
        <v>137</v>
      </c>
      <c r="C30" s="44">
        <f>IF(C4&lt;1.4,6,0)</f>
        <v>0</v>
      </c>
    </row>
    <row r="31" spans="1:4" ht="32.25" customHeight="1">
      <c r="A31" s="10" t="s">
        <v>53</v>
      </c>
      <c r="B31" s="118" t="s">
        <v>138</v>
      </c>
      <c r="C31" s="62">
        <f>((0.00021*((DATI!C9+DATI!C10)*(100-DATI!C12))^1.14*(12-DATI!C13)+3.25*(DATI!C14-2)+2.5*(SUM(C25:C30)-3))/100)*0.1317</f>
        <v>0.04975013417203882</v>
      </c>
      <c r="D31" s="32" t="s">
        <v>28</v>
      </c>
    </row>
    <row r="32" spans="1:4" ht="34.5" customHeight="1">
      <c r="A32" s="10" t="s">
        <v>65</v>
      </c>
      <c r="B32" s="9"/>
      <c r="C32" s="30">
        <f>0.0454*DATI!C19+0.0065*DATI!C19^2</f>
        <v>1.4808</v>
      </c>
      <c r="D32" s="32" t="s">
        <v>28</v>
      </c>
    </row>
    <row r="33" s="56" customFormat="1" ht="15">
      <c r="B33" s="57"/>
    </row>
    <row r="34" spans="2:10" s="56" customFormat="1" ht="15">
      <c r="B34" s="57"/>
      <c r="E34" s="1" t="s">
        <v>106</v>
      </c>
      <c r="F34" s="1"/>
      <c r="G34" s="1" t="s">
        <v>122</v>
      </c>
      <c r="J34" s="1" t="s">
        <v>101</v>
      </c>
    </row>
    <row r="35" spans="2:10" s="56" customFormat="1" ht="15">
      <c r="B35" s="57"/>
      <c r="E35" s="1" t="s">
        <v>107</v>
      </c>
      <c r="F35" s="1"/>
      <c r="G35" s="1" t="s">
        <v>123</v>
      </c>
      <c r="J35" s="1" t="s">
        <v>101</v>
      </c>
    </row>
    <row r="36" spans="2:10" s="56" customFormat="1" ht="15">
      <c r="B36" s="57"/>
      <c r="E36" s="1" t="s">
        <v>108</v>
      </c>
      <c r="F36" s="1"/>
      <c r="G36" s="1" t="s">
        <v>127</v>
      </c>
      <c r="J36" s="1" t="s">
        <v>102</v>
      </c>
    </row>
    <row r="37" spans="2:10" s="56" customFormat="1" ht="15">
      <c r="B37" s="57"/>
      <c r="E37" s="1" t="s">
        <v>109</v>
      </c>
      <c r="F37" s="1"/>
      <c r="G37" s="1" t="s">
        <v>125</v>
      </c>
      <c r="J37" s="1" t="s">
        <v>103</v>
      </c>
    </row>
    <row r="38" spans="2:10" s="56" customFormat="1" ht="15">
      <c r="B38" s="57"/>
      <c r="E38" s="1" t="s">
        <v>117</v>
      </c>
      <c r="F38" s="1"/>
      <c r="G38" s="1" t="s">
        <v>126</v>
      </c>
      <c r="J38" s="1" t="s">
        <v>103</v>
      </c>
    </row>
    <row r="39" spans="2:10" s="56" customFormat="1" ht="15">
      <c r="B39" s="57"/>
      <c r="E39" s="1" t="s">
        <v>110</v>
      </c>
      <c r="F39" s="1"/>
      <c r="G39" s="1" t="s">
        <v>121</v>
      </c>
      <c r="J39" s="1" t="s">
        <v>103</v>
      </c>
    </row>
    <row r="40" spans="2:10" s="56" customFormat="1" ht="15">
      <c r="B40" s="57"/>
      <c r="E40" s="1" t="s">
        <v>111</v>
      </c>
      <c r="F40" s="1"/>
      <c r="G40" s="1" t="s">
        <v>128</v>
      </c>
      <c r="J40" s="1" t="s">
        <v>104</v>
      </c>
    </row>
    <row r="41" spans="2:10" s="56" customFormat="1" ht="15">
      <c r="B41" s="57"/>
      <c r="E41" s="1" t="s">
        <v>112</v>
      </c>
      <c r="F41" s="1"/>
      <c r="G41" s="1" t="s">
        <v>130</v>
      </c>
      <c r="J41" s="1" t="s">
        <v>104</v>
      </c>
    </row>
    <row r="42" spans="2:10" s="56" customFormat="1" ht="15">
      <c r="B42" s="57"/>
      <c r="E42" s="1" t="s">
        <v>113</v>
      </c>
      <c r="F42" s="1"/>
      <c r="G42" s="1" t="s">
        <v>129</v>
      </c>
      <c r="J42" s="1" t="s">
        <v>104</v>
      </c>
    </row>
    <row r="43" spans="2:10" s="56" customFormat="1" ht="15">
      <c r="B43" s="57"/>
      <c r="E43" s="1" t="s">
        <v>114</v>
      </c>
      <c r="F43" s="1"/>
      <c r="G43" s="1" t="s">
        <v>124</v>
      </c>
      <c r="J43" s="1" t="s">
        <v>105</v>
      </c>
    </row>
    <row r="44" spans="2:10" s="56" customFormat="1" ht="15">
      <c r="B44" s="57"/>
      <c r="E44" s="1" t="s">
        <v>115</v>
      </c>
      <c r="F44" s="1"/>
      <c r="G44" s="1" t="s">
        <v>119</v>
      </c>
      <c r="J44" s="1" t="s">
        <v>105</v>
      </c>
    </row>
    <row r="45" spans="2:10" s="56" customFormat="1" ht="15">
      <c r="B45" s="57"/>
      <c r="E45" s="1" t="s">
        <v>116</v>
      </c>
      <c r="F45" s="1"/>
      <c r="G45" s="1" t="s">
        <v>120</v>
      </c>
      <c r="J45" s="1" t="s">
        <v>105</v>
      </c>
    </row>
    <row r="46" s="56" customFormat="1" ht="15">
      <c r="B46" s="57"/>
    </row>
    <row r="47" s="56" customFormat="1" ht="15">
      <c r="B47" s="57"/>
    </row>
    <row r="48" s="56" customFormat="1" ht="15">
      <c r="B48" s="57"/>
    </row>
    <row r="49" s="56" customFormat="1" ht="15">
      <c r="B49" s="57"/>
    </row>
    <row r="50" s="56" customFormat="1" ht="15">
      <c r="B50" s="57"/>
    </row>
    <row r="51" s="56" customFormat="1" ht="15">
      <c r="B51" s="57"/>
    </row>
    <row r="52" s="56" customFormat="1" ht="15">
      <c r="B52" s="57"/>
    </row>
    <row r="53" s="56" customFormat="1" ht="15">
      <c r="B53" s="57"/>
    </row>
    <row r="54" s="56" customFormat="1" ht="15">
      <c r="B54" s="57"/>
    </row>
    <row r="55" s="56" customFormat="1" ht="15">
      <c r="B55" s="57"/>
    </row>
    <row r="56" s="56" customFormat="1" ht="15">
      <c r="B56" s="57"/>
    </row>
    <row r="57" s="56" customFormat="1" ht="15">
      <c r="B57" s="57"/>
    </row>
    <row r="58" s="56" customFormat="1" ht="15">
      <c r="B58" s="57"/>
    </row>
    <row r="59" s="56" customFormat="1" ht="15">
      <c r="B59" s="57"/>
    </row>
    <row r="60" s="56" customFormat="1" ht="15">
      <c r="B60" s="57"/>
    </row>
    <row r="61" s="56" customFormat="1" ht="15">
      <c r="B61" s="57"/>
    </row>
    <row r="62" s="56" customFormat="1" ht="15">
      <c r="B62" s="57"/>
    </row>
    <row r="63" s="56" customFormat="1" ht="15">
      <c r="B63" s="57"/>
    </row>
    <row r="64" s="56" customFormat="1" ht="15">
      <c r="B64" s="57"/>
    </row>
    <row r="65" s="56" customFormat="1" ht="15">
      <c r="B65" s="57"/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6" sqref="F6"/>
    </sheetView>
  </sheetViews>
  <sheetFormatPr defaultColWidth="10.8515625" defaultRowHeight="12.75"/>
  <cols>
    <col min="1" max="1" width="15.28125" style="79" customWidth="1"/>
    <col min="2" max="2" width="10.8515625" style="79" customWidth="1"/>
    <col min="3" max="3" width="15.421875" style="79" customWidth="1"/>
    <col min="4" max="4" width="10.8515625" style="79" customWidth="1"/>
    <col min="5" max="5" width="13.421875" style="79" customWidth="1"/>
    <col min="6" max="16384" width="10.8515625" style="79" customWidth="1"/>
  </cols>
  <sheetData>
    <row r="1" spans="1:12" ht="15.75">
      <c r="A1" s="135" t="s">
        <v>72</v>
      </c>
      <c r="B1" s="136"/>
      <c r="C1" s="136"/>
      <c r="D1" s="136"/>
      <c r="E1" s="136"/>
      <c r="F1" s="136"/>
      <c r="G1" s="136"/>
      <c r="H1" s="76"/>
      <c r="I1" s="77"/>
      <c r="J1" s="77"/>
      <c r="K1" s="77"/>
      <c r="L1" s="78"/>
    </row>
    <row r="2" spans="1:12" s="84" customFormat="1" ht="24" customHeight="1">
      <c r="A2" s="80"/>
      <c r="B2" s="81" t="s">
        <v>73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s="85" customFormat="1" ht="21" customHeight="1">
      <c r="A3" s="137" t="s">
        <v>74</v>
      </c>
      <c r="B3" s="138"/>
      <c r="C3" s="138" t="s">
        <v>75</v>
      </c>
      <c r="D3" s="138"/>
      <c r="E3" s="138" t="s">
        <v>76</v>
      </c>
      <c r="F3" s="138"/>
      <c r="G3" s="138" t="s">
        <v>77</v>
      </c>
      <c r="H3" s="138"/>
      <c r="I3" s="138"/>
      <c r="J3" s="139"/>
      <c r="K3" s="139"/>
      <c r="L3" s="140"/>
    </row>
    <row r="4" spans="1:12" s="91" customFormat="1" ht="25.5" customHeight="1">
      <c r="A4" s="86" t="s">
        <v>78</v>
      </c>
      <c r="B4" s="87">
        <f>(DATI!C8/100)</f>
        <v>0.379</v>
      </c>
      <c r="C4" s="88" t="s">
        <v>79</v>
      </c>
      <c r="D4" s="87">
        <f>(DATI!C12/100)</f>
        <v>0.15600000000000003</v>
      </c>
      <c r="E4" s="89" t="s">
        <v>80</v>
      </c>
      <c r="F4" s="90">
        <f>1-B4-D4</f>
        <v>0.46499999999999997</v>
      </c>
      <c r="G4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4" s="141"/>
      <c r="I4" s="141"/>
      <c r="J4" s="142"/>
      <c r="K4" s="142"/>
      <c r="L4" s="143"/>
    </row>
    <row r="5" spans="1:12" s="91" customFormat="1" ht="25.5" customHeight="1">
      <c r="A5" s="92" t="s">
        <v>81</v>
      </c>
      <c r="B5" s="87">
        <f>(DATI!D8/100)</f>
        <v>0.64</v>
      </c>
      <c r="C5" s="93" t="s">
        <v>82</v>
      </c>
      <c r="D5" s="87">
        <f>(DATI!D12/100)</f>
        <v>0.039000000000000055</v>
      </c>
      <c r="E5" s="89" t="s">
        <v>83</v>
      </c>
      <c r="F5" s="90">
        <f>1-B5-D5</f>
        <v>0.32099999999999995</v>
      </c>
      <c r="G5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5" s="141"/>
      <c r="I5" s="141"/>
      <c r="J5" s="142"/>
      <c r="K5" s="142"/>
      <c r="L5" s="143"/>
    </row>
    <row r="6" spans="1:12" s="91" customFormat="1" ht="25.5" customHeight="1">
      <c r="A6" s="94" t="s">
        <v>84</v>
      </c>
      <c r="B6" s="87">
        <v>0</v>
      </c>
      <c r="C6" s="95" t="s">
        <v>85</v>
      </c>
      <c r="D6" s="87">
        <v>0</v>
      </c>
      <c r="E6" s="89" t="s">
        <v>86</v>
      </c>
      <c r="F6" s="90">
        <f>1-B6-D6</f>
        <v>1</v>
      </c>
      <c r="G6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6" s="141"/>
      <c r="I6" s="141"/>
      <c r="J6" s="142"/>
      <c r="K6" s="142"/>
      <c r="L6" s="143"/>
    </row>
    <row r="7" spans="1:12" s="91" customFormat="1" ht="25.5" customHeight="1">
      <c r="A7" s="96" t="s">
        <v>87</v>
      </c>
      <c r="B7" s="87">
        <v>0</v>
      </c>
      <c r="C7" s="97" t="s">
        <v>88</v>
      </c>
      <c r="D7" s="87">
        <v>0</v>
      </c>
      <c r="E7" s="89" t="s">
        <v>89</v>
      </c>
      <c r="F7" s="90">
        <f>1-B7-D7</f>
        <v>1</v>
      </c>
      <c r="G7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7" s="141"/>
      <c r="I7" s="141"/>
      <c r="J7" s="142"/>
      <c r="K7" s="142"/>
      <c r="L7" s="143"/>
    </row>
    <row r="8" spans="1:12" ht="12.75">
      <c r="A8" s="98"/>
      <c r="B8" s="99"/>
      <c r="C8" s="100"/>
      <c r="D8" s="99"/>
      <c r="E8" s="101"/>
      <c r="F8" s="102"/>
      <c r="G8" s="101"/>
      <c r="H8" s="103"/>
      <c r="I8" s="101"/>
      <c r="J8" s="101"/>
      <c r="K8" s="101"/>
      <c r="L8" s="104"/>
    </row>
    <row r="9" spans="1:12" ht="12.75">
      <c r="A9" s="105"/>
      <c r="B9" s="101"/>
      <c r="C9" s="101"/>
      <c r="D9" s="101" t="s">
        <v>90</v>
      </c>
      <c r="E9" s="101"/>
      <c r="F9" s="101"/>
      <c r="G9" s="101"/>
      <c r="H9" s="103"/>
      <c r="I9" s="101"/>
      <c r="J9" s="101"/>
      <c r="K9" s="101"/>
      <c r="L9" s="104"/>
    </row>
    <row r="10" spans="1:12" ht="12.75">
      <c r="A10" s="144" t="s">
        <v>91</v>
      </c>
      <c r="B10" s="145"/>
      <c r="C10" s="101"/>
      <c r="D10" s="101"/>
      <c r="E10" s="101"/>
      <c r="F10" s="101"/>
      <c r="G10" s="101"/>
      <c r="H10" s="103"/>
      <c r="I10" s="101"/>
      <c r="J10" s="101"/>
      <c r="K10" s="101"/>
      <c r="L10" s="104"/>
    </row>
    <row r="11" spans="1:12" ht="12.75">
      <c r="A11" s="106" t="s">
        <v>92</v>
      </c>
      <c r="B11" s="107">
        <v>0</v>
      </c>
      <c r="C11" s="101"/>
      <c r="D11" s="146"/>
      <c r="E11" s="146"/>
      <c r="F11" s="146"/>
      <c r="G11" s="101"/>
      <c r="H11" s="103"/>
      <c r="I11" s="101"/>
      <c r="J11" s="101"/>
      <c r="K11" s="101"/>
      <c r="L11" s="104"/>
    </row>
    <row r="12" spans="1:12" ht="12.75">
      <c r="A12" s="106" t="s">
        <v>93</v>
      </c>
      <c r="B12" s="107">
        <v>0</v>
      </c>
      <c r="C12" s="101"/>
      <c r="D12" s="101"/>
      <c r="E12" s="101"/>
      <c r="F12" s="101"/>
      <c r="G12" s="101"/>
      <c r="H12" s="103"/>
      <c r="I12" s="101"/>
      <c r="J12" s="101"/>
      <c r="K12" s="101"/>
      <c r="L12" s="104"/>
    </row>
    <row r="13" spans="1:12" ht="12.75">
      <c r="A13" s="106" t="s">
        <v>94</v>
      </c>
      <c r="B13" s="107">
        <v>0</v>
      </c>
      <c r="C13" s="101"/>
      <c r="D13" s="101"/>
      <c r="E13" s="101"/>
      <c r="F13" s="101"/>
      <c r="G13" s="101"/>
      <c r="H13" s="103"/>
      <c r="I13" s="101"/>
      <c r="J13" s="101"/>
      <c r="K13" s="101"/>
      <c r="L13" s="104"/>
    </row>
    <row r="14" spans="1:12" ht="12.75">
      <c r="A14" s="106" t="s">
        <v>95</v>
      </c>
      <c r="B14" s="107">
        <v>0</v>
      </c>
      <c r="C14" s="101"/>
      <c r="D14" s="101"/>
      <c r="E14" s="101"/>
      <c r="F14" s="101"/>
      <c r="G14" s="101"/>
      <c r="H14" s="103"/>
      <c r="I14" s="101"/>
      <c r="J14" s="101"/>
      <c r="K14" s="101"/>
      <c r="L14" s="104"/>
    </row>
    <row r="15" spans="1:12" ht="12.75">
      <c r="A15" s="106" t="s">
        <v>96</v>
      </c>
      <c r="B15" s="107">
        <v>0</v>
      </c>
      <c r="C15" s="101"/>
      <c r="D15" s="101"/>
      <c r="E15" s="101"/>
      <c r="F15" s="101"/>
      <c r="G15" s="101"/>
      <c r="H15" s="103"/>
      <c r="I15" s="101"/>
      <c r="J15" s="101"/>
      <c r="K15" s="101"/>
      <c r="L15" s="104"/>
    </row>
    <row r="16" spans="1:12" ht="12.75">
      <c r="A16" s="147">
        <f>IF(AND(SUM(B11:B15)&lt;&gt;B4,SUM(B11:B15)&lt;&gt;0),"The sum of your optional SABBIA components does not equal the SABBIA component","")</f>
      </c>
      <c r="B16" s="148"/>
      <c r="C16" s="108"/>
      <c r="D16" s="108"/>
      <c r="E16" s="108"/>
      <c r="F16" s="108"/>
      <c r="G16" s="108"/>
      <c r="H16" s="108"/>
      <c r="I16" s="108"/>
      <c r="J16" s="101"/>
      <c r="K16" s="101"/>
      <c r="L16" s="104"/>
    </row>
    <row r="17" spans="1:12" ht="12.75">
      <c r="A17" s="149"/>
      <c r="B17" s="150"/>
      <c r="C17" s="108"/>
      <c r="D17" s="108"/>
      <c r="E17" s="108"/>
      <c r="F17" s="108"/>
      <c r="G17" s="108"/>
      <c r="H17" s="108"/>
      <c r="I17" s="108"/>
      <c r="J17" s="101"/>
      <c r="K17" s="101"/>
      <c r="L17" s="104"/>
    </row>
    <row r="18" spans="1:12" ht="12.75">
      <c r="A18" s="151"/>
      <c r="B18" s="152"/>
      <c r="C18" s="101"/>
      <c r="D18" s="101"/>
      <c r="E18" s="101"/>
      <c r="F18" s="101"/>
      <c r="G18" s="101"/>
      <c r="H18" s="101"/>
      <c r="I18" s="101"/>
      <c r="J18" s="101"/>
      <c r="K18" s="101"/>
      <c r="L18" s="104"/>
    </row>
    <row r="19" spans="1:12" ht="12.75">
      <c r="A19" s="144" t="s">
        <v>97</v>
      </c>
      <c r="B19" s="145"/>
      <c r="C19" s="101"/>
      <c r="D19" s="101"/>
      <c r="E19" s="101"/>
      <c r="F19" s="101"/>
      <c r="G19" s="101"/>
      <c r="H19" s="103"/>
      <c r="I19" s="101"/>
      <c r="J19" s="101"/>
      <c r="K19" s="101"/>
      <c r="L19" s="104"/>
    </row>
    <row r="20" spans="1:12" ht="12.75">
      <c r="A20" s="106" t="s">
        <v>92</v>
      </c>
      <c r="B20" s="107">
        <v>0</v>
      </c>
      <c r="C20" s="101"/>
      <c r="D20" s="101"/>
      <c r="E20" s="101"/>
      <c r="F20" s="101"/>
      <c r="G20" s="101"/>
      <c r="H20" s="103"/>
      <c r="I20" s="101"/>
      <c r="J20" s="101"/>
      <c r="K20" s="101"/>
      <c r="L20" s="104"/>
    </row>
    <row r="21" spans="1:12" ht="12.75">
      <c r="A21" s="106" t="s">
        <v>93</v>
      </c>
      <c r="B21" s="107">
        <v>0</v>
      </c>
      <c r="C21" s="101"/>
      <c r="D21" s="109">
        <f>(1.095-(B4*0.0104*100))-((0.52)*(0.0099*D4*100))</f>
        <v>0.6205311999999998</v>
      </c>
      <c r="E21" s="109">
        <f>0.145+(0.0099*D4*100)</f>
        <v>0.29944000000000004</v>
      </c>
      <c r="F21" s="101"/>
      <c r="G21" s="101"/>
      <c r="H21" s="103"/>
      <c r="I21" s="101"/>
      <c r="J21" s="101"/>
      <c r="K21" s="101"/>
      <c r="L21" s="104"/>
    </row>
    <row r="22" spans="1:12" ht="12.75">
      <c r="A22" s="106" t="s">
        <v>94</v>
      </c>
      <c r="B22" s="107">
        <v>0</v>
      </c>
      <c r="C22" s="101"/>
      <c r="D22" s="109">
        <f>(1.095-(B5*0.0104*100))-((0.52)*(0.0099*D5*100))</f>
        <v>0.4093228</v>
      </c>
      <c r="E22" s="109">
        <f>0.145+(0.0099*D5*100)</f>
        <v>0.18361000000000005</v>
      </c>
      <c r="F22" s="101"/>
      <c r="G22" s="101"/>
      <c r="H22" s="103"/>
      <c r="I22" s="101"/>
      <c r="J22" s="101"/>
      <c r="K22" s="101"/>
      <c r="L22" s="104"/>
    </row>
    <row r="23" spans="1:12" ht="12.75">
      <c r="A23" s="106" t="s">
        <v>95</v>
      </c>
      <c r="B23" s="107">
        <v>0</v>
      </c>
      <c r="C23" s="101"/>
      <c r="D23" s="109">
        <f>(1.095-(B6*0.0104*100))-((0.52)*(0.0099*D6*100))</f>
        <v>1.095</v>
      </c>
      <c r="E23" s="109">
        <f>0.145+(0.0099*D6*100)</f>
        <v>0.145</v>
      </c>
      <c r="F23" s="101"/>
      <c r="G23" s="101"/>
      <c r="H23" s="103"/>
      <c r="I23" s="101"/>
      <c r="J23" s="101"/>
      <c r="K23" s="101"/>
      <c r="L23" s="104"/>
    </row>
    <row r="24" spans="1:12" ht="12.75">
      <c r="A24" s="106" t="s">
        <v>96</v>
      </c>
      <c r="B24" s="107">
        <v>0</v>
      </c>
      <c r="C24" s="101"/>
      <c r="D24" s="109">
        <f>(1.095-(B7*0.0104*100))-((0.52)*(0.0099*D7*100))</f>
        <v>1.095</v>
      </c>
      <c r="E24" s="109">
        <f>0.145+(0.0099*D7*100)</f>
        <v>0.145</v>
      </c>
      <c r="F24" s="101"/>
      <c r="G24" s="101"/>
      <c r="H24" s="103"/>
      <c r="I24" s="101"/>
      <c r="J24" s="101"/>
      <c r="K24" s="101"/>
      <c r="L24" s="104"/>
    </row>
    <row r="25" spans="1:12" ht="12.75">
      <c r="A25" s="147">
        <f>IF(AND(SUM(B20:B24)&lt;&gt;B5,SUM(B20:B24)&lt;&gt;0),"The sum of your optional SABBIA components does not equal the SABBIA component","")</f>
      </c>
      <c r="B25" s="148"/>
      <c r="C25" s="110"/>
      <c r="D25" s="110"/>
      <c r="E25" s="110"/>
      <c r="F25" s="110"/>
      <c r="G25" s="110"/>
      <c r="H25" s="110"/>
      <c r="I25" s="110"/>
      <c r="J25" s="101"/>
      <c r="K25" s="101"/>
      <c r="L25" s="104"/>
    </row>
    <row r="26" spans="1:12" ht="12.75">
      <c r="A26" s="149"/>
      <c r="B26" s="150"/>
      <c r="C26" s="110"/>
      <c r="D26" s="110"/>
      <c r="E26" s="110"/>
      <c r="F26" s="110"/>
      <c r="G26" s="110"/>
      <c r="H26" s="110"/>
      <c r="I26" s="110"/>
      <c r="J26" s="101"/>
      <c r="K26" s="101"/>
      <c r="L26" s="104"/>
    </row>
    <row r="27" spans="1:12" ht="12.75">
      <c r="A27" s="151"/>
      <c r="B27" s="152"/>
      <c r="C27" s="110"/>
      <c r="D27" s="110"/>
      <c r="E27" s="110"/>
      <c r="F27" s="110"/>
      <c r="G27" s="110"/>
      <c r="H27" s="110"/>
      <c r="I27" s="110"/>
      <c r="J27" s="101"/>
      <c r="K27" s="101"/>
      <c r="L27" s="104"/>
    </row>
    <row r="28" spans="1:12" ht="12.75">
      <c r="A28" s="144" t="s">
        <v>98</v>
      </c>
      <c r="B28" s="145"/>
      <c r="C28" s="101"/>
      <c r="D28" s="101"/>
      <c r="E28" s="101"/>
      <c r="F28" s="101"/>
      <c r="G28" s="101"/>
      <c r="H28" s="103"/>
      <c r="I28" s="101"/>
      <c r="J28" s="101"/>
      <c r="K28" s="101"/>
      <c r="L28" s="104"/>
    </row>
    <row r="29" spans="1:12" ht="12.75">
      <c r="A29" s="106" t="s">
        <v>92</v>
      </c>
      <c r="B29" s="107">
        <v>0</v>
      </c>
      <c r="C29" s="101"/>
      <c r="D29" s="101">
        <v>0.525</v>
      </c>
      <c r="E29" s="101"/>
      <c r="F29" s="101"/>
      <c r="G29" s="101"/>
      <c r="H29" s="103"/>
      <c r="I29" s="101"/>
      <c r="J29" s="101"/>
      <c r="K29" s="101"/>
      <c r="L29" s="104"/>
    </row>
    <row r="30" spans="1:12" ht="12.75">
      <c r="A30" s="106" t="s">
        <v>93</v>
      </c>
      <c r="B30" s="107">
        <v>0</v>
      </c>
      <c r="C30" s="101"/>
      <c r="D30" s="101">
        <v>1.04</v>
      </c>
      <c r="E30" s="101"/>
      <c r="F30" s="101"/>
      <c r="G30" s="101"/>
      <c r="H30" s="103"/>
      <c r="I30" s="101"/>
      <c r="J30" s="101"/>
      <c r="K30" s="101"/>
      <c r="L30" s="104"/>
    </row>
    <row r="31" spans="1:12" ht="12.75">
      <c r="A31" s="106" t="s">
        <v>94</v>
      </c>
      <c r="B31" s="107">
        <v>0</v>
      </c>
      <c r="C31" s="101"/>
      <c r="D31" s="101"/>
      <c r="E31" s="101"/>
      <c r="F31" s="101"/>
      <c r="G31" s="101"/>
      <c r="H31" s="103"/>
      <c r="I31" s="101"/>
      <c r="J31" s="101"/>
      <c r="K31" s="101"/>
      <c r="L31" s="104"/>
    </row>
    <row r="32" spans="1:12" ht="12.75">
      <c r="A32" s="106" t="s">
        <v>95</v>
      </c>
      <c r="B32" s="107">
        <v>0</v>
      </c>
      <c r="C32" s="101"/>
      <c r="D32" s="101"/>
      <c r="E32" s="101"/>
      <c r="F32" s="101"/>
      <c r="G32" s="101"/>
      <c r="H32" s="103"/>
      <c r="I32" s="101"/>
      <c r="J32" s="101"/>
      <c r="K32" s="101"/>
      <c r="L32" s="104"/>
    </row>
    <row r="33" spans="1:12" ht="12.75">
      <c r="A33" s="106" t="s">
        <v>96</v>
      </c>
      <c r="B33" s="107">
        <v>0</v>
      </c>
      <c r="C33" s="101"/>
      <c r="D33" s="101"/>
      <c r="E33" s="101"/>
      <c r="F33" s="101"/>
      <c r="G33" s="101"/>
      <c r="H33" s="103"/>
      <c r="I33" s="101"/>
      <c r="J33" s="101"/>
      <c r="K33" s="101"/>
      <c r="L33" s="104"/>
    </row>
    <row r="34" spans="1:12" ht="12.75">
      <c r="A34" s="147">
        <f>IF(AND(SUM(B29:B33)&lt;&gt;B6,SUM(B29:B33)&lt;&gt;0),"The sum of your optional SABBIA components does not equal the SABBIA component","")</f>
      </c>
      <c r="B34" s="148"/>
      <c r="C34" s="110"/>
      <c r="D34" s="110"/>
      <c r="E34" s="110"/>
      <c r="F34" s="110"/>
      <c r="G34" s="110"/>
      <c r="H34" s="110"/>
      <c r="I34" s="110"/>
      <c r="J34" s="101"/>
      <c r="K34" s="101"/>
      <c r="L34" s="104"/>
    </row>
    <row r="35" spans="1:12" ht="12.75">
      <c r="A35" s="149"/>
      <c r="B35" s="150"/>
      <c r="C35" s="110"/>
      <c r="D35" s="110"/>
      <c r="E35" s="110"/>
      <c r="F35" s="110"/>
      <c r="G35" s="110"/>
      <c r="H35" s="110"/>
      <c r="I35" s="110"/>
      <c r="J35" s="101"/>
      <c r="K35" s="101"/>
      <c r="L35" s="104"/>
    </row>
    <row r="36" spans="1:12" ht="12.75">
      <c r="A36" s="151"/>
      <c r="B36" s="152"/>
      <c r="C36" s="110"/>
      <c r="D36" s="110"/>
      <c r="E36" s="110"/>
      <c r="F36" s="110"/>
      <c r="G36" s="110"/>
      <c r="H36" s="110"/>
      <c r="I36" s="110"/>
      <c r="J36" s="101"/>
      <c r="K36" s="101"/>
      <c r="L36" s="104"/>
    </row>
    <row r="37" spans="1:12" ht="12.75">
      <c r="A37" s="144" t="s">
        <v>99</v>
      </c>
      <c r="B37" s="145"/>
      <c r="C37" s="101"/>
      <c r="D37" s="101"/>
      <c r="E37" s="101"/>
      <c r="F37" s="101"/>
      <c r="G37" s="101"/>
      <c r="H37" s="103"/>
      <c r="I37" s="101"/>
      <c r="J37" s="101"/>
      <c r="K37" s="101"/>
      <c r="L37" s="104"/>
    </row>
    <row r="38" spans="1:12" ht="12.75">
      <c r="A38" s="106" t="s">
        <v>92</v>
      </c>
      <c r="B38" s="107">
        <v>0</v>
      </c>
      <c r="C38" s="101"/>
      <c r="D38" s="101"/>
      <c r="E38" s="101"/>
      <c r="F38" s="101"/>
      <c r="G38" s="101"/>
      <c r="H38" s="103"/>
      <c r="I38" s="101"/>
      <c r="J38" s="101"/>
      <c r="K38" s="101"/>
      <c r="L38" s="104"/>
    </row>
    <row r="39" spans="1:12" ht="12.75">
      <c r="A39" s="106" t="s">
        <v>93</v>
      </c>
      <c r="B39" s="107">
        <v>0</v>
      </c>
      <c r="C39" s="101"/>
      <c r="D39" s="101"/>
      <c r="E39" s="101"/>
      <c r="F39" s="101"/>
      <c r="G39" s="101"/>
      <c r="H39" s="103"/>
      <c r="I39" s="101"/>
      <c r="J39" s="101"/>
      <c r="K39" s="101"/>
      <c r="L39" s="104"/>
    </row>
    <row r="40" spans="1:12" ht="12.75">
      <c r="A40" s="106" t="s">
        <v>94</v>
      </c>
      <c r="B40" s="107">
        <v>0</v>
      </c>
      <c r="C40" s="101"/>
      <c r="D40" s="101"/>
      <c r="E40" s="101"/>
      <c r="F40" s="101"/>
      <c r="G40" s="101"/>
      <c r="H40" s="103"/>
      <c r="I40" s="101"/>
      <c r="J40" s="101"/>
      <c r="K40" s="101"/>
      <c r="L40" s="104"/>
    </row>
    <row r="41" spans="1:12" ht="12.75">
      <c r="A41" s="106" t="s">
        <v>95</v>
      </c>
      <c r="B41" s="107">
        <v>0</v>
      </c>
      <c r="C41" s="101"/>
      <c r="D41" s="101"/>
      <c r="E41" s="101"/>
      <c r="F41" s="101"/>
      <c r="G41" s="101"/>
      <c r="H41" s="103"/>
      <c r="I41" s="101"/>
      <c r="J41" s="101"/>
      <c r="K41" s="101"/>
      <c r="L41" s="104"/>
    </row>
    <row r="42" spans="1:12" ht="12.75">
      <c r="A42" s="106" t="s">
        <v>96</v>
      </c>
      <c r="B42" s="107">
        <v>0</v>
      </c>
      <c r="C42" s="101"/>
      <c r="D42" s="101"/>
      <c r="E42" s="101"/>
      <c r="F42" s="101"/>
      <c r="G42" s="101"/>
      <c r="H42" s="103"/>
      <c r="I42" s="101"/>
      <c r="J42" s="101"/>
      <c r="K42" s="101"/>
      <c r="L42" s="104"/>
    </row>
    <row r="43" spans="1:12" ht="12.75">
      <c r="A43" s="147">
        <f>IF(AND(SUM(B38:B42)&lt;&gt;B7,SUM(B38:B42)&lt;&gt;0),"The sum of your optional SABBIA components does not equal the SABBIA component","")</f>
      </c>
      <c r="B43" s="148"/>
      <c r="C43" s="110"/>
      <c r="D43" s="110"/>
      <c r="E43" s="110"/>
      <c r="F43" s="110"/>
      <c r="G43" s="110"/>
      <c r="H43" s="110"/>
      <c r="I43" s="110"/>
      <c r="J43" s="101"/>
      <c r="K43" s="101"/>
      <c r="L43" s="104"/>
    </row>
    <row r="44" spans="1:12" ht="12.75">
      <c r="A44" s="149"/>
      <c r="B44" s="150"/>
      <c r="C44" s="101"/>
      <c r="D44" s="101"/>
      <c r="E44" s="101"/>
      <c r="F44" s="101"/>
      <c r="G44" s="101"/>
      <c r="H44" s="103"/>
      <c r="I44" s="101"/>
      <c r="J44" s="101"/>
      <c r="K44" s="101"/>
      <c r="L44" s="104"/>
    </row>
    <row r="45" spans="1:12" ht="13.5" thickBot="1">
      <c r="A45" s="153"/>
      <c r="B45" s="154"/>
      <c r="C45" s="111"/>
      <c r="D45" s="111"/>
      <c r="E45" s="111"/>
      <c r="F45" s="111"/>
      <c r="G45" s="111"/>
      <c r="H45" s="112"/>
      <c r="I45" s="111"/>
      <c r="J45" s="111"/>
      <c r="K45" s="111"/>
      <c r="L45" s="113"/>
    </row>
  </sheetData>
  <sheetProtection selectLockedCells="1"/>
  <mergeCells count="18">
    <mergeCell ref="A19:B19"/>
    <mergeCell ref="A25:B27"/>
    <mergeCell ref="A28:B28"/>
    <mergeCell ref="A34:B36"/>
    <mergeCell ref="A37:B37"/>
    <mergeCell ref="A43:B45"/>
    <mergeCell ref="G5:L5"/>
    <mergeCell ref="G6:L6"/>
    <mergeCell ref="G7:L7"/>
    <mergeCell ref="A10:B10"/>
    <mergeCell ref="D11:F11"/>
    <mergeCell ref="A16:B18"/>
    <mergeCell ref="A1:G1"/>
    <mergeCell ref="A3:B3"/>
    <mergeCell ref="C3:D3"/>
    <mergeCell ref="E3:F3"/>
    <mergeCell ref="G3:L3"/>
    <mergeCell ref="G4:L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Regione Campania - amedeo d antonio DG07 UOD06</cp:lastModifiedBy>
  <cp:lastPrinted>2016-09-08T10:58:42Z</cp:lastPrinted>
  <dcterms:created xsi:type="dcterms:W3CDTF">1998-10-21T10:31:12Z</dcterms:created>
  <dcterms:modified xsi:type="dcterms:W3CDTF">2024-06-19T07:23:05Z</dcterms:modified>
  <cp:category/>
  <cp:version/>
  <cp:contentType/>
  <cp:contentStatus/>
</cp:coreProperties>
</file>